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o (3)" sheetId="1" r:id="rId1"/>
  </sheets>
  <definedNames>
    <definedName name="_xlnm.Print_Titles" localSheetId="0">'Novo (3)'!$3:$8</definedName>
    <definedName name="Excel_BuiltIn_Print_Titles" localSheetId="0">'Novo (3)'!$3:$8</definedName>
  </definedNames>
  <calcPr fullCalcOnLoad="1"/>
</workbook>
</file>

<file path=xl/sharedStrings.xml><?xml version="1.0" encoding="utf-8"?>
<sst xmlns="http://schemas.openxmlformats.org/spreadsheetml/2006/main" count="64" uniqueCount="61">
  <si>
    <t>PREFEITURA MUNICIPAL DE SANTA MARIA - RS - PODER EXECUTIVO</t>
  </si>
  <si>
    <t>RELATÓRIO DE GESTÃO FISCAL</t>
  </si>
  <si>
    <t>DEMONSTRATIVO DA DESPESA COM PESSOAL</t>
  </si>
  <si>
    <t>ORÇAMENTOS FISCAL E DA SEGURIDADE SOCIAL</t>
  </si>
  <si>
    <t>MAIO 2022 A ABRIL 2023</t>
  </si>
  <si>
    <t>RGF - ANEXO I (LRF, art. 55, inciso I, alínea "a")</t>
  </si>
  <si>
    <t>R$ 1,00</t>
  </si>
  <si>
    <t>DESPESA COM PESSOAL</t>
  </si>
  <si>
    <t>INSCRITAS EM
RESTOS A PAGAR
NÃO
PROCESSADOS
(b)</t>
  </si>
  <si>
    <t>TOTAL
(ÚLTIMOS
12 MESES)
(a)</t>
  </si>
  <si>
    <t xml:space="preserve">   Maio/2022</t>
  </si>
  <si>
    <t xml:space="preserve">   Junho/2022</t>
  </si>
  <si>
    <t xml:space="preserve">   Julho/2022</t>
  </si>
  <si>
    <t xml:space="preserve">   Agosto/2022</t>
  </si>
  <si>
    <t xml:space="preserve">   Setembro/2022</t>
  </si>
  <si>
    <t xml:space="preserve">   Outubro/2022</t>
  </si>
  <si>
    <t xml:space="preserve">   Novembro/2022</t>
  </si>
  <si>
    <t xml:space="preserve">   Dezembro/2022</t>
  </si>
  <si>
    <t xml:space="preserve">   Janeiro/2023</t>
  </si>
  <si>
    <t xml:space="preserve">   Fevereiro/2023</t>
  </si>
  <si>
    <t xml:space="preserve">   Março/2023</t>
  </si>
  <si>
    <t xml:space="preserve">   Abril/2023</t>
  </si>
  <si>
    <t>DESPESA BRUTA COM PESSOAL (I)</t>
  </si>
  <si>
    <t>Pessoal Ativo</t>
  </si>
  <si>
    <t>Vencimentos, Vantagens e Outras Despesas Variáveis</t>
  </si>
  <si>
    <t>Obrigações Patronais</t>
  </si>
  <si>
    <t>Benefícios Previdenciários</t>
  </si>
  <si>
    <t>Pessoal Inativo e Pensionistas</t>
  </si>
  <si>
    <t>-</t>
  </si>
  <si>
    <t>Aposentadorias, Reserva e Reformas</t>
  </si>
  <si>
    <t>Pensões</t>
  </si>
  <si>
    <t>Outros Benefícios Previdenciários</t>
  </si>
  <si>
    <t>Outras despesas de pessoal decorrentes de contratos de terceirização ou de contratação de forma indireta (§ 1º do art. 18 da LRF)</t>
  </si>
  <si>
    <t>DESPESAS NÃO COMPUTADAS(II)(§ 1º do art. 19 da LRF)</t>
  </si>
  <si>
    <t>Indenizações por Demissão e Incentivos à Demissão Voluntária e Deduções Constitucionais</t>
  </si>
  <si>
    <t>Decorrentes de Decisão Judicial</t>
  </si>
  <si>
    <t>Despesas de Exercícios Anteriores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</si>
  <si>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</si>
  <si>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</si>
  <si>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</si>
  <si>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</si>
  <si>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</si>
  <si>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</si>
  <si>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>(-)Transferências obrigatórias da União relativas às emendas individuais (art. 166-A §1º, da CF) (V)</t>
  </si>
  <si>
    <t>(-) Transferências obrigatórias da União relativas às emendas de bancada (art. 166, § 16 da CF) e ao vencimento dos agentes comunitários de saúde e de combate às endemias (CF, art. 198, §11) (VI)</t>
  </si>
  <si>
    <t xml:space="preserve"> = RECEITA CORRENTE LÍQUIDA AJUSTADA PARA CÁLCULO DOS LIMITES DA DESPESA COM PESSOAL (VII)=(IV-V-VI)</t>
  </si>
  <si>
    <t xml:space="preserve">  -    </t>
  </si>
  <si>
    <t>DESPESA TOTAL COM PESSOAL - DTP (VIII) = (IIIa + IIIb)</t>
  </si>
  <si>
    <t>LIMITE MÁXIMO (IX) (incisos I,II e III, art. 20 da LRF)</t>
  </si>
  <si>
    <t>LIMITE PRUDENCIAL (X) = (0,95 *IX) (parágrafo único do art. 22 da LRF)</t>
  </si>
  <si>
    <t>LIMITE DE ALERTA (XI) = (0,90 * IX) (inciso II do § 1º do art. 59 da LRF)</t>
  </si>
  <si>
    <t>FONTE: PRONIM RF - Responsabilidade Fiscal</t>
  </si>
  <si>
    <t>Foi deduzido da despesa com pessoal o valor de R$ 887.000,00 (R$ 345.000,00 referente a folha de pagamento dos Agentes de Combate a Endemias - empenhos 12721/2022, 12723/2022, 12724/2022 e 12726/2022 e R$ 542.000,00 referente a folha de pagamento dos Agentes Comunitários de Saúde – empenhos 12749/2022 e 12750/2022 de acordo</t>
  </si>
  <si>
    <t>com a EC 120 de 05 de maio  de 2022.</t>
  </si>
  <si>
    <t>Foi deduzido da despesa com pessoal o valor de R$ 1.925.312,00 (R$ 1.447.016,00 referente a folha de pagamento dos Agentes Comunitários de Saúde – empenhos 16334/2022, 16641/2022, 17432/2022, 17433/2022, 20171/2022, 22045/2022 e R$ 478.296,00 referente a folha de pagamento dos Agentes de Combate às Endemias – empenhos: 17437/2022,</t>
  </si>
  <si>
    <t>17438/2022, 17440/2022, 17441/2022, 17442/2022, 17444/2022, 17445/2022, 20183/2022, 20184/2022 e 22048/2022 de acordo com a EC 120 de 05 de maio de 2022</t>
  </si>
  <si>
    <t xml:space="preserve">O valor de R$ 1.421.784,00 na linha: “(-) Transferências obrigatórias da União relativas às emendas de bancada (art. 166, § 16 da CF) e ao vencimento dos agentes comunitários de saúde e de combate às endemias (CF, art. 198, §11) (VI)” refere-se aos recursos financeiros repassados pela União para o pagamento  do vencimento dos Agentes Comunitários </t>
  </si>
  <si>
    <t>de Saúde e de Combate às Endemias, dos meses de janeiro/2023a abril/2023, conforme EC 120 de 05 de maio de 2022.</t>
  </si>
  <si>
    <t xml:space="preserve">Do total deduzido na linha “Indenizações por Demissão e Incentivos à Demissão Voluntária e Deduções Constitucionais” R$ 1.067.640,00 em março e R$ 354.144,00 em abril, refere-se ao pagamento dos vencimentos dos Agentes Comunitários de Saúde e de Combate às Endemias. Tal linha do demonstrativo foi incluída pelas alterações na 13ª edição do MDF </t>
  </si>
  <si>
    <t>aprovada pela Portaria STN/MF 288 de 27 de abril de 2023. Tal estrutura é válida excepcionalmente para o exercício de 2023.</t>
  </si>
  <si>
    <t xml:space="preserve">                         ___________________________________     ___________________________________        ___________________________________       _____________________________________          
                                  Greice Pivetta                     Clairton Rodrigues da Motta                  Michele Vargas Antonello                  Jorge Cladistone Pozzobom
                               Contadora CRC 55.075                Superint. de Controle Interno         Secretária de Município de Finanças                   Prefeito Municipal
                                 CPF 571.017.950-72                      CPF 501.690.410-34                        CPF: 975.675.310-20                          CPF 484.930.070-72                                                                                                                    
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</si>
</sst>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(\ #,##0.00_);_(&quot; -&quot;#,##0.00_);_(&quot; - &quot;??_);_(@_)"/>
    <numFmt numFmtId="167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color indexed="8"/>
      <name val="Lucida Console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4" fontId="3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3" fillId="2" borderId="3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6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4" fontId="2" fillId="0" borderId="8" xfId="0" applyFont="1" applyBorder="1" applyAlignment="1">
      <alignment vertical="center"/>
    </xf>
    <xf numFmtId="166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justify"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left" vertical="center" wrapText="1" shrinkToFit="1"/>
    </xf>
    <xf numFmtId="167" fontId="4" fillId="0" borderId="7" xfId="0" applyNumberFormat="1" applyFont="1" applyBorder="1" applyAlignment="1">
      <alignment horizontal="left" vertical="center" wrapText="1" shrinkToFit="1"/>
    </xf>
    <xf numFmtId="164" fontId="2" fillId="0" borderId="1" xfId="0" applyFont="1" applyBorder="1" applyAlignment="1">
      <alignment horizontal="left" vertical="center" wrapText="1"/>
    </xf>
    <xf numFmtId="164" fontId="2" fillId="2" borderId="1" xfId="0" applyFont="1" applyFill="1" applyBorder="1" applyAlignment="1">
      <alignment horizontal="left" vertical="center"/>
    </xf>
    <xf numFmtId="166" fontId="2" fillId="2" borderId="2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 horizontal="left" vertical="center"/>
    </xf>
    <xf numFmtId="166" fontId="2" fillId="0" borderId="9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7">
      <selection activeCell="V31" sqref="V31"/>
    </sheetView>
  </sheetViews>
  <sheetFormatPr defaultColWidth="9.140625" defaultRowHeight="15"/>
  <cols>
    <col min="1" max="1" width="1.7109375" style="1" customWidth="1"/>
    <col min="2" max="2" width="12.421875" style="1" customWidth="1"/>
    <col min="3" max="3" width="33.140625" style="1" customWidth="1"/>
    <col min="4" max="17" width="13.421875" style="1" customWidth="1"/>
    <col min="18" max="253" width="8.8515625" style="1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9" spans="1:17" ht="15.75">
      <c r="A9" s="4" t="s">
        <v>5</v>
      </c>
      <c r="B9" s="4"/>
      <c r="C9" s="4"/>
      <c r="Q9" s="5" t="s">
        <v>6</v>
      </c>
    </row>
    <row r="10" spans="1:17" ht="15.75">
      <c r="A10" s="6" t="s">
        <v>7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ht="15.75">
      <c r="A11" s="6"/>
      <c r="B11" s="6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 ht="12.75" customHeight="1">
      <c r="A12" s="6"/>
      <c r="B12" s="6"/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 t="s">
        <v>8</v>
      </c>
    </row>
    <row r="13" spans="1:17" ht="12.75" customHeight="1">
      <c r="A13" s="6"/>
      <c r="B13" s="6"/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 t="s">
        <v>9</v>
      </c>
      <c r="Q13" s="12"/>
    </row>
    <row r="14" spans="1:17" ht="15.75">
      <c r="A14" s="6"/>
      <c r="B14" s="6"/>
      <c r="C14" s="6"/>
      <c r="D14" s="9" t="s">
        <v>10</v>
      </c>
      <c r="E14" s="9" t="s">
        <v>11</v>
      </c>
      <c r="F14" s="9" t="s">
        <v>12</v>
      </c>
      <c r="G14" s="9" t="s">
        <v>13</v>
      </c>
      <c r="H14" s="9" t="s">
        <v>14</v>
      </c>
      <c r="I14" s="9" t="s">
        <v>15</v>
      </c>
      <c r="J14" s="9" t="s">
        <v>16</v>
      </c>
      <c r="K14" s="9" t="s">
        <v>17</v>
      </c>
      <c r="L14" s="9" t="s">
        <v>18</v>
      </c>
      <c r="M14" s="9" t="s">
        <v>19</v>
      </c>
      <c r="N14" s="9" t="s">
        <v>20</v>
      </c>
      <c r="O14" s="9" t="s">
        <v>21</v>
      </c>
      <c r="P14" s="14"/>
      <c r="Q14" s="12"/>
    </row>
    <row r="15" spans="1:17" ht="15.75">
      <c r="A15" s="6"/>
      <c r="B15" s="6"/>
      <c r="C15" s="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4"/>
      <c r="Q15" s="12"/>
    </row>
    <row r="16" spans="1:17" ht="15.75">
      <c r="A16" s="15" t="s">
        <v>22</v>
      </c>
      <c r="B16" s="16"/>
      <c r="C16" s="17"/>
      <c r="D16" s="18">
        <f>D17+D22+D26</f>
        <v>51308158.37</v>
      </c>
      <c r="E16" s="18">
        <f>E17+E22+E26</f>
        <v>52456187.95999999</v>
      </c>
      <c r="F16" s="18">
        <f>F17+F22+F26</f>
        <v>50292142.2</v>
      </c>
      <c r="G16" s="18">
        <f>G17+G22+G26</f>
        <v>51914545.29999999</v>
      </c>
      <c r="H16" s="18">
        <f>H17+H22+H26</f>
        <v>50645932.75</v>
      </c>
      <c r="I16" s="18">
        <f>I17+I22+I26</f>
        <v>51674009.09</v>
      </c>
      <c r="J16" s="18">
        <f>J17+J22+J26</f>
        <v>51470616.349999994</v>
      </c>
      <c r="K16" s="18">
        <f>K17+K22+K26</f>
        <v>104598493.05</v>
      </c>
      <c r="L16" s="18">
        <f>L17+L22+L26</f>
        <v>51092155.92</v>
      </c>
      <c r="M16" s="18">
        <f>M17+M22+M26</f>
        <v>50577812.16000001</v>
      </c>
      <c r="N16" s="18">
        <f>N17+N22+N26</f>
        <v>50814788.510000005</v>
      </c>
      <c r="O16" s="18">
        <f>O17+O22+O26</f>
        <v>44163291.72</v>
      </c>
      <c r="P16" s="18">
        <f aca="true" t="shared" si="0" ref="P16:P18">SUM(D16:O16)</f>
        <v>661008133.3800001</v>
      </c>
      <c r="Q16" s="19">
        <v>0</v>
      </c>
    </row>
    <row r="17" spans="1:17" ht="15.75">
      <c r="A17" s="15" t="s">
        <v>23</v>
      </c>
      <c r="B17" s="16"/>
      <c r="C17" s="17"/>
      <c r="D17" s="18">
        <f>D18+D20+D21</f>
        <v>35045109.68</v>
      </c>
      <c r="E17" s="18">
        <f>E18+E20+E21</f>
        <v>36111674.739999995</v>
      </c>
      <c r="F17" s="18">
        <f>F18+F20+F21</f>
        <v>33674666.22</v>
      </c>
      <c r="G17" s="18">
        <f>G18+G20+G21</f>
        <v>35549083.949999996</v>
      </c>
      <c r="H17" s="18">
        <f>H18+H20+H21</f>
        <v>34210465.1</v>
      </c>
      <c r="I17" s="18">
        <f>I18+I20+I21</f>
        <v>35055823.04</v>
      </c>
      <c r="J17" s="18">
        <f>J18+J20+J21</f>
        <v>34926910.66</v>
      </c>
      <c r="K17" s="18">
        <f>K18+K20+K21</f>
        <v>72129508.07</v>
      </c>
      <c r="L17" s="18">
        <f>L18+L20+L21</f>
        <v>34827701.87</v>
      </c>
      <c r="M17" s="18">
        <f>M18+M20+M21</f>
        <v>33851675.220000006</v>
      </c>
      <c r="N17" s="18">
        <f>N18+N20+N21</f>
        <v>34066827.61000001</v>
      </c>
      <c r="O17" s="18">
        <f>O18+O20+O21</f>
        <v>27333904.540000003</v>
      </c>
      <c r="P17" s="18">
        <f t="shared" si="0"/>
        <v>446783350.70000005</v>
      </c>
      <c r="Q17" s="19">
        <v>0</v>
      </c>
    </row>
    <row r="18" spans="1:17" ht="12.75" customHeight="1">
      <c r="A18" s="20"/>
      <c r="B18" s="21" t="s">
        <v>24</v>
      </c>
      <c r="C18" s="21"/>
      <c r="D18" s="18">
        <f>21043572.17+826419.74+87754.75+190632.93+28036.36+725146.64+43072.66+27774.42+15632.8+158810.61</f>
        <v>23146853.080000002</v>
      </c>
      <c r="E18" s="18">
        <f>21531824.65+972015.21+85593.55+263526.02+41022.73+715486.09+79819.15+28147.74+5392.23+115622.95</f>
        <v>23838450.319999997</v>
      </c>
      <c r="F18" s="18">
        <f>19980618.45+870596.07+95442.22+34896.03+30202.19+700703.46+86886.88+28099.04+13418.25+72577.14</f>
        <v>21913439.73</v>
      </c>
      <c r="G18" s="18">
        <f>21397151.09+751797.28+101519.15+285281.69+33130.09+701613.54+75862.24+29018.24+60151.64+62094.59</f>
        <v>23497619.549999997</v>
      </c>
      <c r="H18" s="18">
        <f>20190886.34+1081570.93+91979.63+100697.67+44417.31+708116.82+122524.91+26620.2+69640.98</f>
        <v>22436454.79</v>
      </c>
      <c r="I18" s="18">
        <f>21038675.54+973587.61+104315.1+151967.55+32251.59+700462.41+79365.53+24802.88+21805.56+62283.78</f>
        <v>23189517.55</v>
      </c>
      <c r="J18" s="18">
        <f>20851369.37+997620.21+130348.49+151580.46+31347.97+694960.14+94423.46+22584.49+58617.43+62594.09</f>
        <v>23095446.11</v>
      </c>
      <c r="K18" s="18">
        <f>46463900.87+946427.8+101419.47+71608.63+49837.74+1344974.12+178326.45+23802.4+45828.47+120240.54</f>
        <v>49346366.489999995</v>
      </c>
      <c r="L18" s="18">
        <f>20485239.93+828962.78+518408.27+12431.06+5845.78+155838.12+23136.2+34219.94+701736.75-108489.7-106906.61+94754.19+23689.74+25813.58+108489.7+19180.61+67457.98+106906.61</f>
        <v>22996714.93</v>
      </c>
      <c r="M18" s="18">
        <f>19664964.46+737816.89+403571+12995.46+195863+187641.68+35281.69+693672.58-102419.6-105393.48+100126.59+24349.94+102419.6+70262.81+105393.48-10284.58</f>
        <v>22116261.520000003</v>
      </c>
      <c r="N18" s="18">
        <f>20123094.15+475572.41+70840.25+21170.26+26872.38+65119.46+409021.12+35873+696630.5-113575.91-88820.1+109410.96+21383.07+53375.26+113575.91++101239.5+57930.77+2914.72+88820.1-5182.29</f>
        <v>22265265.520000003</v>
      </c>
      <c r="O18" s="18">
        <f>20528279.42+656545.92+36156.51+17284.34+158102.63+167453.58+33523+748484.83-141263.64-88771.97+93902.37+24832.21+75635.35+141263.64+120582.45+93236.82+88771.97-7353.77</f>
        <v>22746665.660000004</v>
      </c>
      <c r="P18" s="18">
        <f t="shared" si="0"/>
        <v>300589055.25</v>
      </c>
      <c r="Q18" s="19">
        <v>0</v>
      </c>
    </row>
    <row r="19" spans="1:17" ht="15.75">
      <c r="A19" s="22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19"/>
    </row>
    <row r="20" spans="1:17" ht="15.75">
      <c r="A20" s="20"/>
      <c r="B20" s="15" t="s">
        <v>25</v>
      </c>
      <c r="C20" s="17"/>
      <c r="D20" s="18">
        <f>695088.19+3893392.82+7273808.14+4500.37+4253.38+18029.35+9184.35</f>
        <v>11898256.599999998</v>
      </c>
      <c r="E20" s="18">
        <f>687810.56+4018801.22+7508570.32+3864.49+27750.48+17095.79+9331.56</f>
        <v>12273224.420000002</v>
      </c>
      <c r="F20" s="18">
        <f>682657.88+3848135.23+7180616.91+4938.74+28135.47+14317.69+2424.57</f>
        <v>11761226.49</v>
      </c>
      <c r="G20" s="18">
        <f>686443.37+3952559.43+7368571.07+3798.45+25577.15+14514.93</f>
        <v>12051464.4</v>
      </c>
      <c r="H20" s="18">
        <f>688750.94+3850036.21+7186263.2+4011.42+30181.1+14767.44</f>
        <v>11774010.31</v>
      </c>
      <c r="I20" s="25">
        <f>691137.35+3884405.27+7245099.96+3795.92+27413.81+14453.18</f>
        <v>11866305.49</v>
      </c>
      <c r="J20" s="18">
        <f>718959.61+3859725.71+7199238.32+3157.39+35441.15+14942.37</f>
        <v>11831464.55</v>
      </c>
      <c r="K20" s="18">
        <f>1381368.07+7441275.26+13875933.89+7413.68+50033.72+27116.96</f>
        <v>22783141.58</v>
      </c>
      <c r="L20" s="18">
        <f>862525.82+3594677.99+7319640.28+3732.07+34367.74+16043.04</f>
        <v>11830986.94</v>
      </c>
      <c r="M20" s="18">
        <f>757602.14+3596370.52+7326213.32+3519.4+36515.69+15192.63</f>
        <v>11735413.700000001</v>
      </c>
      <c r="N20" s="18">
        <f>725634.09+178.49+3628930.58+7389505.05+7684.23+35015.14+14614.51</f>
        <v>11801562.090000002</v>
      </c>
      <c r="O20" s="18">
        <f>709832.69+3843120.4+159.01+587.9+18192.38+15346.5</f>
        <v>4587238.88</v>
      </c>
      <c r="P20" s="26">
        <f>SUM(D20:O20)</f>
        <v>146194295.45000002</v>
      </c>
      <c r="Q20" s="19">
        <v>0</v>
      </c>
    </row>
    <row r="21" spans="1:17" ht="15.75">
      <c r="A21" s="20"/>
      <c r="B21" s="15" t="s">
        <v>26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6"/>
      <c r="Q21" s="19">
        <v>0</v>
      </c>
    </row>
    <row r="22" spans="1:17" ht="15.75">
      <c r="A22" s="15" t="s">
        <v>27</v>
      </c>
      <c r="B22" s="16"/>
      <c r="C22" s="17"/>
      <c r="D22" s="18">
        <f>D23+D24+D25</f>
        <v>15703984.2</v>
      </c>
      <c r="E22" s="18">
        <f>E23+E24+E25</f>
        <v>15737864.440000001</v>
      </c>
      <c r="F22" s="18">
        <f>F23+F24+F25</f>
        <v>15720910.620000001</v>
      </c>
      <c r="G22" s="18">
        <f>G23+G24+G25</f>
        <v>15786763.84</v>
      </c>
      <c r="H22" s="18">
        <f>H23+H24+H25</f>
        <v>15856770.14</v>
      </c>
      <c r="I22" s="18">
        <f>I23+I24+I25</f>
        <v>16016301.190000001</v>
      </c>
      <c r="J22" s="18">
        <f>J23+J24+J25</f>
        <v>15933389.07</v>
      </c>
      <c r="K22" s="18">
        <f>K23+K24+K25</f>
        <v>31503566.46</v>
      </c>
      <c r="L22" s="18">
        <f>L23+L24+L25</f>
        <v>16264454.05</v>
      </c>
      <c r="M22" s="18">
        <f>M23+M24+M25</f>
        <v>16384882.81</v>
      </c>
      <c r="N22" s="18">
        <f>N23+N24+N25</f>
        <v>16413777.120000001</v>
      </c>
      <c r="O22" s="18">
        <f>O23+O24+O25</f>
        <v>16495203.399999999</v>
      </c>
      <c r="P22" s="26">
        <f aca="true" t="shared" si="1" ref="P22:P24">SUM(D22:O22)</f>
        <v>207817867.34000003</v>
      </c>
      <c r="Q22" s="19" t="s">
        <v>28</v>
      </c>
    </row>
    <row r="23" spans="1:17" ht="15.75">
      <c r="A23" s="20"/>
      <c r="B23" s="15" t="s">
        <v>29</v>
      </c>
      <c r="C23" s="17"/>
      <c r="D23" s="18">
        <v>14201410.49</v>
      </c>
      <c r="E23" s="18">
        <v>14225934.65</v>
      </c>
      <c r="F23" s="18">
        <v>14227271.83</v>
      </c>
      <c r="G23" s="18">
        <v>14231160.08</v>
      </c>
      <c r="H23" s="18">
        <v>14326509.72</v>
      </c>
      <c r="I23" s="18">
        <v>14324592.96</v>
      </c>
      <c r="J23" s="18">
        <v>14373405.84</v>
      </c>
      <c r="K23" s="18">
        <v>28520944</v>
      </c>
      <c r="L23" s="18">
        <v>14637050.31</v>
      </c>
      <c r="M23" s="18">
        <f>14786153.38+425.93</f>
        <v>14786579.31</v>
      </c>
      <c r="N23" s="18">
        <v>14766194.73</v>
      </c>
      <c r="O23" s="18">
        <v>14887539.95</v>
      </c>
      <c r="P23" s="26">
        <f t="shared" si="1"/>
        <v>187508593.87</v>
      </c>
      <c r="Q23" s="19">
        <v>0</v>
      </c>
    </row>
    <row r="24" spans="1:17" ht="15.75">
      <c r="A24" s="20"/>
      <c r="B24" s="15" t="s">
        <v>30</v>
      </c>
      <c r="C24" s="17"/>
      <c r="D24" s="18">
        <f>1500680.24+1893.47</f>
        <v>1502573.71</v>
      </c>
      <c r="E24" s="18">
        <v>1511929.79</v>
      </c>
      <c r="F24" s="18">
        <f>1488500.43+5138.36</f>
        <v>1493638.79</v>
      </c>
      <c r="G24" s="18">
        <f>1554632.95+970.81</f>
        <v>1555603.76</v>
      </c>
      <c r="H24" s="18">
        <v>1530260.42</v>
      </c>
      <c r="I24" s="18">
        <v>1691708.23</v>
      </c>
      <c r="J24" s="18">
        <v>1559983.23</v>
      </c>
      <c r="K24" s="18">
        <v>2982622.46</v>
      </c>
      <c r="L24" s="18">
        <v>1627403.74</v>
      </c>
      <c r="M24" s="18">
        <v>1598303.5</v>
      </c>
      <c r="N24" s="18">
        <v>1647582.39</v>
      </c>
      <c r="O24" s="18">
        <v>1607663.45</v>
      </c>
      <c r="P24" s="26">
        <f t="shared" si="1"/>
        <v>20309273.47</v>
      </c>
      <c r="Q24" s="19">
        <v>0</v>
      </c>
    </row>
    <row r="25" spans="1:17" ht="15.75">
      <c r="A25" s="20"/>
      <c r="B25" s="15" t="s">
        <v>31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6"/>
      <c r="Q25" s="19">
        <v>0</v>
      </c>
    </row>
    <row r="26" spans="1:17" ht="15.75">
      <c r="A26" s="27" t="s">
        <v>32</v>
      </c>
      <c r="B26" s="27"/>
      <c r="C26" s="27"/>
      <c r="D26" s="18">
        <f>559064.49</f>
        <v>559064.49</v>
      </c>
      <c r="E26" s="18">
        <v>606648.78</v>
      </c>
      <c r="F26" s="18">
        <v>896565.36</v>
      </c>
      <c r="G26" s="18">
        <v>578697.51</v>
      </c>
      <c r="H26" s="25">
        <v>578697.51</v>
      </c>
      <c r="I26" s="25">
        <v>601884.86</v>
      </c>
      <c r="J26" s="18">
        <v>610316.62</v>
      </c>
      <c r="K26" s="18">
        <v>965418.52</v>
      </c>
      <c r="L26" s="18">
        <v>0</v>
      </c>
      <c r="M26" s="18">
        <v>341254.13</v>
      </c>
      <c r="N26" s="18">
        <v>334183.78</v>
      </c>
      <c r="O26" s="18">
        <v>334183.78</v>
      </c>
      <c r="P26" s="26">
        <f>SUM(D26:O26)</f>
        <v>6406915.340000001</v>
      </c>
      <c r="Q26" s="19">
        <v>0</v>
      </c>
    </row>
    <row r="27" spans="1:17" ht="30" customHeight="1">
      <c r="A27" s="27"/>
      <c r="B27" s="27"/>
      <c r="C27" s="2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19"/>
    </row>
    <row r="28" spans="1:17" ht="12.75">
      <c r="A28" s="27" t="s">
        <v>33</v>
      </c>
      <c r="B28" s="27"/>
      <c r="C28" s="27"/>
      <c r="D28" s="18">
        <f>D32+D33+D34</f>
        <v>15910249.93</v>
      </c>
      <c r="E28" s="18">
        <f>E32+E33+E34</f>
        <v>16006782.690000001</v>
      </c>
      <c r="F28" s="18">
        <f>F32+F33+F34</f>
        <v>15769224.9</v>
      </c>
      <c r="G28" s="18">
        <f>G32+G33+G34</f>
        <v>16132197.17</v>
      </c>
      <c r="H28" s="18">
        <f>H32+H33+H34</f>
        <v>15957467.81</v>
      </c>
      <c r="I28" s="18">
        <f>I32+I33+I34</f>
        <v>16190074.3</v>
      </c>
      <c r="J28" s="18">
        <f>J32+J33+J34</f>
        <v>16143586.96</v>
      </c>
      <c r="K28" s="18">
        <f>K32+K33+K34</f>
        <v>31621003.560000002</v>
      </c>
      <c r="L28" s="18">
        <f>L30+L32+L33+L34</f>
        <v>16468116.58</v>
      </c>
      <c r="M28" s="18">
        <f>M30+M32+M33+M34</f>
        <v>16914358.990000002</v>
      </c>
      <c r="N28" s="18">
        <f>N30+N32+N33+N34</f>
        <v>17935238</v>
      </c>
      <c r="O28" s="18">
        <f>O30+O32+O33+O34</f>
        <v>17254926.479999997</v>
      </c>
      <c r="P28" s="18">
        <f>SUM(D28:O28)</f>
        <v>212303227.37000003</v>
      </c>
      <c r="Q28" s="19">
        <v>0</v>
      </c>
    </row>
    <row r="29" spans="1:17" ht="12.75">
      <c r="A29" s="27"/>
      <c r="B29" s="27"/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19"/>
    </row>
    <row r="30" spans="1:17" ht="12.75">
      <c r="A30" s="20"/>
      <c r="B30" s="27" t="s">
        <v>34</v>
      </c>
      <c r="C30" s="27"/>
      <c r="D30" s="18"/>
      <c r="E30" s="18"/>
      <c r="F30" s="18"/>
      <c r="G30" s="18"/>
      <c r="H30" s="18"/>
      <c r="I30" s="18"/>
      <c r="J30" s="18"/>
      <c r="K30" s="18"/>
      <c r="L30" s="18">
        <v>155838.12</v>
      </c>
      <c r="M30" s="18">
        <f>195863</f>
        <v>195863</v>
      </c>
      <c r="N30" s="18">
        <f>1067640+65119.46</f>
        <v>1132759.46</v>
      </c>
      <c r="O30" s="18">
        <f>354144+158102.63</f>
        <v>512246.63</v>
      </c>
      <c r="P30" s="28">
        <f>SUM(L30:O30)</f>
        <v>1996707.21</v>
      </c>
      <c r="Q30" s="19">
        <v>0</v>
      </c>
    </row>
    <row r="31" spans="1:17" ht="12.75">
      <c r="A31" s="22"/>
      <c r="B31" s="27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8"/>
      <c r="Q31" s="19"/>
    </row>
    <row r="32" spans="1:17" ht="15.75">
      <c r="A32" s="20"/>
      <c r="B32" s="15" t="s">
        <v>35</v>
      </c>
      <c r="C32" s="17"/>
      <c r="D32" s="18">
        <f>15632.8+190632.93</f>
        <v>206265.72999999998</v>
      </c>
      <c r="E32" s="18">
        <f>263526.02+5392.23</f>
        <v>268918.25</v>
      </c>
      <c r="F32" s="18">
        <f>34896.03+13418.25</f>
        <v>48314.28</v>
      </c>
      <c r="G32" s="18">
        <f>285281.69+60151.64</f>
        <v>345433.33</v>
      </c>
      <c r="H32" s="18">
        <f>100697.67</f>
        <v>100697.67</v>
      </c>
      <c r="I32" s="18">
        <f>151967.55+21805.56</f>
        <v>173773.11</v>
      </c>
      <c r="J32" s="18">
        <f>151580.46+58617.43</f>
        <v>210197.88999999998</v>
      </c>
      <c r="K32" s="18">
        <f>71608.63+45828.47</f>
        <v>117437.1</v>
      </c>
      <c r="L32" s="18">
        <f>23136.2+2502.21</f>
        <v>25638.41</v>
      </c>
      <c r="M32" s="18">
        <v>187030.07</v>
      </c>
      <c r="N32" s="18">
        <f>322776.97+5482.06</f>
        <v>328259.02999999997</v>
      </c>
      <c r="O32" s="18">
        <f>161039.6+26589.28</f>
        <v>187628.88</v>
      </c>
      <c r="P32" s="26">
        <f>SUM(D32:O32)</f>
        <v>2199593.75</v>
      </c>
      <c r="Q32" s="19">
        <v>0</v>
      </c>
    </row>
    <row r="33" spans="1:17" ht="15.75">
      <c r="A33" s="20"/>
      <c r="B33" s="15" t="s">
        <v>36</v>
      </c>
      <c r="C33" s="17"/>
      <c r="D33" s="18"/>
      <c r="E33" s="18"/>
      <c r="F33" s="18"/>
      <c r="G33" s="18"/>
      <c r="H33" s="18"/>
      <c r="I33" s="18"/>
      <c r="J33" s="18"/>
      <c r="K33" s="18"/>
      <c r="L33" s="18">
        <v>22186</v>
      </c>
      <c r="M33" s="18">
        <v>146583.11</v>
      </c>
      <c r="N33" s="18">
        <v>60442.39</v>
      </c>
      <c r="O33" s="18">
        <f>23993.82+35853.75</f>
        <v>59847.57</v>
      </c>
      <c r="P33" s="26">
        <f>SUM(L33:O33)</f>
        <v>289059.07</v>
      </c>
      <c r="Q33" s="19">
        <v>0</v>
      </c>
    </row>
    <row r="34" spans="1:17" ht="15.75">
      <c r="A34" s="20"/>
      <c r="B34" s="27" t="s">
        <v>37</v>
      </c>
      <c r="C34" s="27"/>
      <c r="D34" s="18">
        <f>D22+D21</f>
        <v>15703984.2</v>
      </c>
      <c r="E34" s="18">
        <f>E22+E21</f>
        <v>15737864.440000001</v>
      </c>
      <c r="F34" s="18">
        <f>F22+F21</f>
        <v>15720910.620000001</v>
      </c>
      <c r="G34" s="18">
        <f>G22+G21</f>
        <v>15786763.84</v>
      </c>
      <c r="H34" s="18">
        <f>H22+H21</f>
        <v>15856770.14</v>
      </c>
      <c r="I34" s="18">
        <f>I22+I21</f>
        <v>16016301.190000001</v>
      </c>
      <c r="J34" s="18">
        <f>J22+J21</f>
        <v>15933389.07</v>
      </c>
      <c r="K34" s="18">
        <f>K22+K21</f>
        <v>31503566.46</v>
      </c>
      <c r="L34" s="18">
        <f>L22+L21</f>
        <v>16264454.05</v>
      </c>
      <c r="M34" s="18">
        <f>M22+M21</f>
        <v>16384882.81</v>
      </c>
      <c r="N34" s="18">
        <f>N22+N21</f>
        <v>16413777.120000001</v>
      </c>
      <c r="O34" s="18">
        <f>O22+O21</f>
        <v>16495203.399999999</v>
      </c>
      <c r="P34" s="26">
        <f>SUM(D34:O34)</f>
        <v>207817867.34000003</v>
      </c>
      <c r="Q34" s="19">
        <v>0</v>
      </c>
    </row>
    <row r="35" spans="1:17" ht="15.75">
      <c r="A35" s="22"/>
      <c r="B35" s="27"/>
      <c r="C35" s="2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19"/>
    </row>
    <row r="36" spans="1:17" ht="15.75">
      <c r="A36" s="15" t="s">
        <v>38</v>
      </c>
      <c r="B36" s="15"/>
      <c r="C36" s="29"/>
      <c r="D36" s="18">
        <f>D16-D28</f>
        <v>35397908.44</v>
      </c>
      <c r="E36" s="18">
        <f>E16-E28</f>
        <v>36449405.269999996</v>
      </c>
      <c r="F36" s="18">
        <f>F16-F28</f>
        <v>34522917.300000004</v>
      </c>
      <c r="G36" s="18">
        <f>G16-G28</f>
        <v>35782348.12999999</v>
      </c>
      <c r="H36" s="18">
        <f>H16-H28</f>
        <v>34688464.94</v>
      </c>
      <c r="I36" s="18">
        <f>I16-I28</f>
        <v>35483934.79000001</v>
      </c>
      <c r="J36" s="18">
        <f>J16-J28</f>
        <v>35327029.38999999</v>
      </c>
      <c r="K36" s="18">
        <f>K16-K28</f>
        <v>72977489.49</v>
      </c>
      <c r="L36" s="18">
        <f>L16-L28</f>
        <v>34624039.34</v>
      </c>
      <c r="M36" s="18">
        <f>M16-M28</f>
        <v>33663453.17000001</v>
      </c>
      <c r="N36" s="18">
        <f>N16-N28</f>
        <v>32879550.510000005</v>
      </c>
      <c r="O36" s="18">
        <f>O16-O28</f>
        <v>26908365.240000002</v>
      </c>
      <c r="P36" s="18">
        <f>SUM(D36:O36)</f>
        <v>448704906.01</v>
      </c>
      <c r="Q36" s="19">
        <v>0</v>
      </c>
    </row>
    <row r="37" spans="1:17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9" spans="1:17" ht="15.75">
      <c r="A39" s="6" t="s">
        <v>39</v>
      </c>
      <c r="B39" s="6"/>
      <c r="C39" s="6"/>
      <c r="D39" s="7" t="s">
        <v>40</v>
      </c>
      <c r="E39" s="7"/>
      <c r="F39" s="7"/>
      <c r="G39" s="7"/>
      <c r="H39" s="7"/>
      <c r="I39" s="7"/>
      <c r="J39" s="7"/>
      <c r="K39" s="7" t="s">
        <v>41</v>
      </c>
      <c r="L39" s="7"/>
      <c r="M39" s="7"/>
      <c r="N39" s="7"/>
      <c r="O39" s="7"/>
      <c r="P39" s="7"/>
      <c r="Q39" s="7"/>
    </row>
    <row r="40" spans="1:17" ht="15.75">
      <c r="A40" s="30" t="s">
        <v>42</v>
      </c>
      <c r="B40" s="30"/>
      <c r="C40" s="30"/>
      <c r="D40" s="30"/>
      <c r="E40" s="31">
        <v>850570044.5</v>
      </c>
      <c r="F40" s="31"/>
      <c r="G40" s="31"/>
      <c r="H40" s="31"/>
      <c r="I40" s="31"/>
      <c r="J40" s="31"/>
      <c r="K40" s="31" t="s">
        <v>28</v>
      </c>
      <c r="L40" s="31"/>
      <c r="M40" s="31"/>
      <c r="N40" s="31"/>
      <c r="O40" s="31"/>
      <c r="P40" s="31"/>
      <c r="Q40" s="31"/>
    </row>
    <row r="41" spans="1:17" ht="18.75" customHeight="1">
      <c r="A41" s="32" t="s">
        <v>43</v>
      </c>
      <c r="B41" s="32"/>
      <c r="C41" s="32"/>
      <c r="D41" s="32"/>
      <c r="E41" s="31">
        <v>2576990</v>
      </c>
      <c r="F41" s="31"/>
      <c r="G41" s="31"/>
      <c r="H41" s="31"/>
      <c r="I41" s="31"/>
      <c r="J41" s="31"/>
      <c r="K41" s="31" t="s">
        <v>28</v>
      </c>
      <c r="L41" s="31"/>
      <c r="M41" s="31"/>
      <c r="N41" s="31"/>
      <c r="O41" s="31"/>
      <c r="P41" s="31"/>
      <c r="Q41" s="31"/>
    </row>
    <row r="42" spans="1:17" ht="40.5" customHeight="1">
      <c r="A42" s="33" t="s">
        <v>44</v>
      </c>
      <c r="B42" s="33"/>
      <c r="C42" s="33"/>
      <c r="D42" s="33"/>
      <c r="E42" s="31">
        <v>1421784</v>
      </c>
      <c r="F42" s="31"/>
      <c r="G42" s="31"/>
      <c r="H42" s="31"/>
      <c r="I42" s="31"/>
      <c r="J42" s="31"/>
      <c r="K42" s="31" t="s">
        <v>28</v>
      </c>
      <c r="L42" s="31"/>
      <c r="M42" s="31"/>
      <c r="N42" s="31"/>
      <c r="O42" s="31"/>
      <c r="P42" s="31"/>
      <c r="Q42" s="31"/>
    </row>
    <row r="43" spans="1:17" ht="22.5" customHeight="1">
      <c r="A43" s="34" t="s">
        <v>45</v>
      </c>
      <c r="B43" s="34"/>
      <c r="C43" s="34"/>
      <c r="D43" s="34"/>
      <c r="E43" s="31">
        <f>E40-E41-E42</f>
        <v>846571270.5</v>
      </c>
      <c r="F43" s="31"/>
      <c r="G43" s="31"/>
      <c r="H43" s="31"/>
      <c r="I43" s="31"/>
      <c r="J43" s="31"/>
      <c r="K43" s="31" t="s">
        <v>46</v>
      </c>
      <c r="L43" s="31"/>
      <c r="M43" s="31"/>
      <c r="N43" s="31"/>
      <c r="O43" s="31"/>
      <c r="P43" s="31"/>
      <c r="Q43" s="31"/>
    </row>
    <row r="44" spans="1:17" ht="15.75">
      <c r="A44" s="35" t="s">
        <v>47</v>
      </c>
      <c r="B44" s="35"/>
      <c r="C44" s="35"/>
      <c r="D44" s="35"/>
      <c r="E44" s="36">
        <f>P36</f>
        <v>448704906.01</v>
      </c>
      <c r="F44" s="36"/>
      <c r="G44" s="36"/>
      <c r="H44" s="36"/>
      <c r="I44" s="36"/>
      <c r="J44" s="36"/>
      <c r="K44" s="36">
        <f>E44/E43*100</f>
        <v>53.00261438649896</v>
      </c>
      <c r="L44" s="36"/>
      <c r="M44" s="36"/>
      <c r="N44" s="36"/>
      <c r="O44" s="36"/>
      <c r="P44" s="36"/>
      <c r="Q44" s="36"/>
    </row>
    <row r="45" spans="1:17" ht="15.75">
      <c r="A45" s="30" t="s">
        <v>48</v>
      </c>
      <c r="B45" s="30"/>
      <c r="C45" s="30"/>
      <c r="D45" s="30"/>
      <c r="E45" s="31">
        <f>E43*0.54</f>
        <v>457148486.07000005</v>
      </c>
      <c r="F45" s="31"/>
      <c r="G45" s="31"/>
      <c r="H45" s="31"/>
      <c r="I45" s="31"/>
      <c r="J45" s="31"/>
      <c r="K45" s="31">
        <v>54</v>
      </c>
      <c r="L45" s="31"/>
      <c r="M45" s="31"/>
      <c r="N45" s="31"/>
      <c r="O45" s="31"/>
      <c r="P45" s="31"/>
      <c r="Q45" s="31"/>
    </row>
    <row r="46" spans="1:17" ht="15.75">
      <c r="A46" s="30" t="s">
        <v>49</v>
      </c>
      <c r="B46" s="30"/>
      <c r="C46" s="30"/>
      <c r="D46" s="30"/>
      <c r="E46" s="31">
        <f>E45*0.95</f>
        <v>434291061.76650006</v>
      </c>
      <c r="F46" s="31"/>
      <c r="G46" s="31"/>
      <c r="H46" s="31"/>
      <c r="I46" s="31"/>
      <c r="J46" s="31"/>
      <c r="K46" s="31">
        <v>51.3</v>
      </c>
      <c r="L46" s="31"/>
      <c r="M46" s="31"/>
      <c r="N46" s="31"/>
      <c r="O46" s="31"/>
      <c r="P46" s="31"/>
      <c r="Q46" s="31"/>
    </row>
    <row r="47" spans="1:17" ht="15.75">
      <c r="A47" s="37" t="s">
        <v>50</v>
      </c>
      <c r="B47" s="37"/>
      <c r="C47" s="37"/>
      <c r="D47" s="37"/>
      <c r="E47" s="38">
        <f>E45*0.9</f>
        <v>411433637.46300006</v>
      </c>
      <c r="F47" s="38"/>
      <c r="G47" s="38"/>
      <c r="H47" s="38"/>
      <c r="I47" s="38"/>
      <c r="J47" s="38"/>
      <c r="K47" s="38">
        <v>48.6</v>
      </c>
      <c r="L47" s="38"/>
      <c r="M47" s="38"/>
      <c r="N47" s="38"/>
      <c r="O47" s="38"/>
      <c r="P47" s="38"/>
      <c r="Q47" s="38"/>
    </row>
    <row r="48" spans="1:17" ht="15.75">
      <c r="A48" s="39" t="s">
        <v>51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.75">
      <c r="A49" s="40">
        <v>1</v>
      </c>
      <c r="B49" s="41" t="s">
        <v>52</v>
      </c>
      <c r="C49" s="40"/>
      <c r="D49" s="40"/>
      <c r="E49" s="40"/>
      <c r="F49" s="4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>
      <c r="A50"/>
      <c r="B50" s="42" t="s">
        <v>53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6" ht="15.75">
      <c r="A51" s="43">
        <v>2</v>
      </c>
      <c r="B51" s="42" t="s">
        <v>54</v>
      </c>
      <c r="C51" s="43"/>
      <c r="D51" s="43"/>
      <c r="E51" s="43"/>
      <c r="F51" s="43"/>
    </row>
    <row r="52" spans="1:6" ht="15.75">
      <c r="A52" s="43"/>
      <c r="B52" s="42" t="s">
        <v>55</v>
      </c>
      <c r="C52" s="43"/>
      <c r="D52" s="43"/>
      <c r="E52" s="43"/>
      <c r="F52" s="43"/>
    </row>
    <row r="53" spans="1:17" ht="15.75">
      <c r="A53" s="43">
        <v>3</v>
      </c>
      <c r="B53" s="43" t="s">
        <v>56</v>
      </c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5.75">
      <c r="A54" s="43"/>
      <c r="B54" s="45" t="s">
        <v>57</v>
      </c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ht="15.75">
      <c r="A55" s="43">
        <v>4</v>
      </c>
      <c r="B55" s="45" t="s">
        <v>58</v>
      </c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ht="15.75">
      <c r="A56" s="43"/>
      <c r="B56" s="45" t="s">
        <v>59</v>
      </c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ht="15.75">
      <c r="A57" s="43"/>
      <c r="B57" s="45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2:17" ht="11.25" customHeight="1">
      <c r="B58" s="46" t="s">
        <v>60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2:17" ht="53.25" customHeight="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</sheetData>
  <sheetProtection selectLockedCells="1" selectUnlockedCells="1"/>
  <mergeCells count="48">
    <mergeCell ref="A3:Q3"/>
    <mergeCell ref="A4:Q4"/>
    <mergeCell ref="A5:Q5"/>
    <mergeCell ref="A6:Q6"/>
    <mergeCell ref="A7:Q7"/>
    <mergeCell ref="A9:C9"/>
    <mergeCell ref="A10:C15"/>
    <mergeCell ref="Q12:Q15"/>
    <mergeCell ref="P13:P15"/>
    <mergeCell ref="B18:C19"/>
    <mergeCell ref="Q18:Q19"/>
    <mergeCell ref="A26:C27"/>
    <mergeCell ref="Q26:Q27"/>
    <mergeCell ref="A28:C29"/>
    <mergeCell ref="Q28:Q29"/>
    <mergeCell ref="B30:C31"/>
    <mergeCell ref="Q30:Q31"/>
    <mergeCell ref="B34:C35"/>
    <mergeCell ref="Q34:Q35"/>
    <mergeCell ref="A39:C39"/>
    <mergeCell ref="D39:J39"/>
    <mergeCell ref="K39:Q39"/>
    <mergeCell ref="A40:D40"/>
    <mergeCell ref="E40:J40"/>
    <mergeCell ref="K40:Q40"/>
    <mergeCell ref="A41:D41"/>
    <mergeCell ref="E41:J41"/>
    <mergeCell ref="K41:Q41"/>
    <mergeCell ref="A42:D42"/>
    <mergeCell ref="E42:J42"/>
    <mergeCell ref="K42:Q42"/>
    <mergeCell ref="A43:D43"/>
    <mergeCell ref="E43:J43"/>
    <mergeCell ref="K43:Q43"/>
    <mergeCell ref="A44:D44"/>
    <mergeCell ref="E44:J44"/>
    <mergeCell ref="K44:Q44"/>
    <mergeCell ref="A45:D45"/>
    <mergeCell ref="E45:J45"/>
    <mergeCell ref="K45:Q45"/>
    <mergeCell ref="A46:D46"/>
    <mergeCell ref="E46:J46"/>
    <mergeCell ref="K46:Q46"/>
    <mergeCell ref="A47:D47"/>
    <mergeCell ref="E47:J47"/>
    <mergeCell ref="K47:Q47"/>
    <mergeCell ref="A48:Q48"/>
    <mergeCell ref="B58:Q59"/>
  </mergeCells>
  <printOptions/>
  <pageMargins left="0.5902777777777778" right="0.19652777777777777" top="0" bottom="0" header="0.5118055555555555" footer="0.5118055555555555"/>
  <pageSetup firstPageNumber="1" useFirstPageNumber="1"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Tessele</dc:creator>
  <cp:keywords/>
  <dc:description/>
  <cp:lastModifiedBy/>
  <cp:lastPrinted>2023-05-26T15:56:10Z</cp:lastPrinted>
  <dcterms:created xsi:type="dcterms:W3CDTF">2019-09-17T16:03:32Z</dcterms:created>
  <dcterms:modified xsi:type="dcterms:W3CDTF">2023-05-26T16:48:49Z</dcterms:modified>
  <cp:category/>
  <cp:version/>
  <cp:contentType/>
  <cp:contentStatus/>
  <cp:revision>109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